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43" yWindow="-43" windowWidth="16021" windowHeight="12032" firstSheet="1" activeTab="5"/>
  </bookViews>
  <sheets>
    <sheet name="Zestawienie obrotów i sald" sheetId="2" r:id="rId1"/>
    <sheet name="Bilans" sheetId="1" r:id="rId2"/>
    <sheet name="Rachunek zysków i strat" sheetId="3" r:id="rId3"/>
    <sheet name="Bilans WS" sheetId="4" r:id="rId4"/>
    <sheet name="Rachunek zysków i strat WS" sheetId="5" r:id="rId5"/>
    <sheet name="Wskaźniki" sheetId="6" r:id="rId6"/>
  </sheets>
  <externalReferences>
    <externalReference r:id="rId7"/>
  </externalReferences>
  <definedNames>
    <definedName name="Akcje_zwykłe" localSheetId="3">'Bilans WS'!$B$25</definedName>
    <definedName name="Akcje_zwykłe">Bilans!$B$25</definedName>
    <definedName name="Balance">'[1]Trial Balance'!$C$2:$C$54</definedName>
    <definedName name="Budynki_i_wyposażenie" localSheetId="3">'Bilans WS'!$B$11</definedName>
    <definedName name="Budynki_i_wyposażenie">Bilans!$B$11</definedName>
    <definedName name="Class">'[1]Trial Balance'!$D$2:$D$54</definedName>
    <definedName name="Dopłaty_do_kapitału" localSheetId="3">'Bilans WS'!$B$26</definedName>
    <definedName name="Dopłaty_do_kapitału">Bilans!$B$26</definedName>
    <definedName name="Dopłaty_do_Kapitału_ZeszłyRok">Bilans!$D$25</definedName>
    <definedName name="Dywidendy">'Rachunek zysków i strat'!$B$17</definedName>
    <definedName name="Gotówka" localSheetId="3">'Bilans WS'!$B$4</definedName>
    <definedName name="Gotówka">Bilans!$B$4</definedName>
    <definedName name="Klasa">'Zestawienie obrotów i sald'!$D$2:$D$54</definedName>
    <definedName name="Koszt_wyrobów_sprzedanych">'Rachunek zysków i strat'!$B$5</definedName>
    <definedName name="Należności" localSheetId="3">'Bilans WS'!$B$6</definedName>
    <definedName name="Należności">Bilans!$B$6</definedName>
    <definedName name="Naliczone_wydatki" localSheetId="3">'Bilans WS'!$B$19</definedName>
    <definedName name="Naliczone_wydatki">Bilans!$B$19</definedName>
    <definedName name="Narzut">'Rachunek zysków i strat'!$B$8</definedName>
    <definedName name="Nazwa_konta">'Zestawienie obrotów i sald'!$A$2:$A$54</definedName>
    <definedName name="Net_Ordinary_Income__Loss">'Rachunek zysków i strat'!$B$9</definedName>
    <definedName name="Net_PP_E" localSheetId="3">'Bilans WS'!$B$13</definedName>
    <definedName name="Net_PP_E">Bilans!$B$13</definedName>
    <definedName name="Notes_Payable_to_Bank" localSheetId="3">'Bilans WS'!#REF!</definedName>
    <definedName name="Nr_konta">'Zestawienie obrotów i sald'!$B$2:$B$54</definedName>
    <definedName name="Obroty_na_koncie_należności">Wskaźniki!$B$10</definedName>
    <definedName name="Obroty_na_koncie_należności_zeszły_rok">Bilans!$D$6</definedName>
    <definedName name="Papiery_wart_przezn_do_obrotu" localSheetId="3">'Bilans WS'!$B$5</definedName>
    <definedName name="Papiery_wart_przezn_do_obrotu">Bilans!$B$5</definedName>
    <definedName name="Prepaid_and_Other" localSheetId="3">'Bilans WS'!$B$8</definedName>
    <definedName name="Prepaid_and_Other">Bilans!$B$8</definedName>
    <definedName name="Przychody_netto_strata">'Rachunek zysków i strat'!$B$13</definedName>
    <definedName name="Przychody_z_tytułu_odsetek">'Rachunek zysków i strat'!$B$12</definedName>
    <definedName name="Przychód">'Rachunek zysków i strat'!$B$4</definedName>
    <definedName name="Rotacja_należności">Wskaźniki!$B$11</definedName>
    <definedName name="Rotacja_zapasów">Wskaźniki!$B$12</definedName>
    <definedName name="Saldo">'Zestawienie obrotów i sald'!$C$2:$C$54</definedName>
    <definedName name="Stopa_zysku_brutto">'Rachunek zysków i strat'!$B$6</definedName>
    <definedName name="Suma_aktywów" localSheetId="3">'Bilans WS'!$B$15</definedName>
    <definedName name="Suma_aktywów">Bilans!$B$15</definedName>
    <definedName name="Suma_amortyzacji" localSheetId="3">'Bilans WS'!$B$12</definedName>
    <definedName name="Suma_amortyzacji">Bilans!$B$12</definedName>
    <definedName name="SumaAktywów_ZeszłyRok">Bilans!$D$15</definedName>
    <definedName name="średni_czas_przechowywania_zapasów">Wskaźniki!$B$13</definedName>
    <definedName name="Środki_obrotowe_razem" localSheetId="3">'Bilans WS'!$B$9</definedName>
    <definedName name="Środki_obrotowe_razem">Bilans!$B$9</definedName>
    <definedName name="Zapasy" localSheetId="3">'Bilans WS'!$B$7</definedName>
    <definedName name="Zapasy">Bilans!$B$7</definedName>
    <definedName name="Zapasy_ZeszłyRok">Bilans!$D$7</definedName>
    <definedName name="ZeszłyRok_Dodatkowa_Płatność_W_Kapitale">Bilans!$D$26</definedName>
    <definedName name="Zobowiązania" localSheetId="3">'Bilans WS'!$B$18</definedName>
    <definedName name="Zobowiązania">Bilans!$B$18</definedName>
    <definedName name="Zobowiązania_bieżące_razem" localSheetId="3">'Bilans WS'!$B$20</definedName>
    <definedName name="Zobowiązania_bieżące_razem">Bilans!$B$20</definedName>
    <definedName name="Zobowiązania_długoterminowe" localSheetId="3">'Bilans WS'!$B$22</definedName>
    <definedName name="Zobowiązania_długoterminowe">Bilans!$B$22</definedName>
    <definedName name="Zobowiązania_i_kapitał_własny_razem" localSheetId="3">'Bilans WS'!$B$29</definedName>
    <definedName name="Zobowiązania_i_kapitał_własny_razem">Bilans!$B$29</definedName>
    <definedName name="Zobowiązania_odsetkowe">'Rachunek zysków i strat'!$B$11</definedName>
    <definedName name="Zyski_nierozdzielone">'Rachunek zysków i strat'!$B$18</definedName>
    <definedName name="Zyski_nierozliczone" localSheetId="3">'Bilans WS'!$B$27</definedName>
    <definedName name="Zyski_nierozliczone">Bilans!$B$27</definedName>
    <definedName name="Zyski_nierozliczone_początek">'Rachunek zysków i strat'!$B$15</definedName>
  </definedNames>
  <calcPr calcId="145621"/>
</workbook>
</file>

<file path=xl/calcChain.xml><?xml version="1.0" encoding="utf-8"?>
<calcChain xmlns="http://schemas.openxmlformats.org/spreadsheetml/2006/main">
  <c r="B24" i="6" l="1"/>
  <c r="B31" i="4" l="1"/>
  <c r="B15" i="5" l="1"/>
  <c r="B17" i="5"/>
  <c r="B16" i="5"/>
  <c r="B18" i="1"/>
  <c r="B12" i="5"/>
  <c r="B11" i="5"/>
  <c r="B8" i="5"/>
  <c r="B5" i="5"/>
  <c r="B4" i="5"/>
  <c r="B26" i="4"/>
  <c r="B25" i="4"/>
  <c r="B22" i="4"/>
  <c r="B19" i="4"/>
  <c r="B18" i="4"/>
  <c r="B12" i="4"/>
  <c r="B11" i="4"/>
  <c r="B8" i="4"/>
  <c r="B7" i="4"/>
  <c r="B6" i="4"/>
  <c r="B5" i="4"/>
  <c r="B4" i="4"/>
  <c r="B25" i="1"/>
  <c r="B17" i="3"/>
  <c r="B15" i="3"/>
  <c r="B11" i="3"/>
  <c r="B8" i="3"/>
  <c r="B5" i="3"/>
  <c r="B12" i="6" s="1"/>
  <c r="B13" i="6" s="1"/>
  <c r="B12" i="3"/>
  <c r="B4" i="3"/>
  <c r="B12" i="1"/>
  <c r="B26" i="1"/>
  <c r="B22" i="1"/>
  <c r="B19" i="1"/>
  <c r="B11" i="1"/>
  <c r="B13" i="1" s="1"/>
  <c r="B5" i="1"/>
  <c r="B6" i="1"/>
  <c r="B10" i="6" s="1"/>
  <c r="B11" i="6" s="1"/>
  <c r="B7" i="1"/>
  <c r="B8" i="1"/>
  <c r="B4" i="1"/>
  <c r="B7" i="6" s="1"/>
  <c r="B20" i="1"/>
  <c r="B18" i="5" l="1"/>
  <c r="B14" i="6"/>
  <c r="B6" i="3"/>
  <c r="B6" i="5"/>
  <c r="B9" i="5" s="1"/>
  <c r="B13" i="5" s="1"/>
  <c r="C13" i="5" s="1"/>
  <c r="B9" i="4"/>
  <c r="C8" i="5"/>
  <c r="C12" i="5"/>
  <c r="B4" i="6"/>
  <c r="B9" i="1"/>
  <c r="B5" i="6" s="1"/>
  <c r="B13" i="4"/>
  <c r="B15" i="4" s="1"/>
  <c r="B20" i="4"/>
  <c r="C5" i="5"/>
  <c r="C11" i="5"/>
  <c r="C4" i="5"/>
  <c r="C9" i="5"/>
  <c r="B15" i="1"/>
  <c r="B17" i="6" l="1"/>
  <c r="B31" i="1"/>
  <c r="C6" i="5"/>
  <c r="B9" i="3"/>
  <c r="B13" i="3" s="1"/>
  <c r="B22" i="6"/>
  <c r="C15" i="4"/>
  <c r="C6" i="4"/>
  <c r="C8" i="4"/>
  <c r="C12" i="4"/>
  <c r="C19" i="4"/>
  <c r="C25" i="4"/>
  <c r="C4" i="4"/>
  <c r="C11" i="4"/>
  <c r="C5" i="4"/>
  <c r="C7" i="4"/>
  <c r="C13" i="4"/>
  <c r="C20" i="4"/>
  <c r="C22" i="4"/>
  <c r="C26" i="4"/>
  <c r="C9" i="4"/>
  <c r="C18" i="4"/>
  <c r="B3" i="6"/>
  <c r="B6" i="6"/>
  <c r="B16" i="3" l="1"/>
  <c r="B18" i="3" s="1"/>
  <c r="B19" i="6"/>
  <c r="B23" i="6"/>
  <c r="B27" i="4" l="1"/>
  <c r="B27" i="1"/>
  <c r="B18" i="6" l="1"/>
  <c r="B25" i="6"/>
  <c r="B29" i="1"/>
  <c r="B29" i="4"/>
  <c r="C27" i="4"/>
  <c r="C29" i="4" l="1"/>
</calcChain>
</file>

<file path=xl/sharedStrings.xml><?xml version="1.0" encoding="utf-8"?>
<sst xmlns="http://schemas.openxmlformats.org/spreadsheetml/2006/main" count="203" uniqueCount="109">
  <si>
    <t>with Statement of Retained Earnings</t>
  </si>
  <si>
    <t>Saldo</t>
  </si>
  <si>
    <t>Klasa</t>
  </si>
  <si>
    <t>Bilans</t>
  </si>
  <si>
    <t>Aktywa</t>
  </si>
  <si>
    <t>Pasywa</t>
  </si>
  <si>
    <t>Kapitał własny</t>
  </si>
  <si>
    <t>Gotówka</t>
  </si>
  <si>
    <t>Papiery wartościowe przeznaczone do obrotu</t>
  </si>
  <si>
    <t>Należności</t>
  </si>
  <si>
    <t>Rzeczowe aktywa trwałe</t>
  </si>
  <si>
    <t>Przedpłaty i inne</t>
  </si>
  <si>
    <t>Suma środków obrotowych</t>
  </si>
  <si>
    <t>Budynki i wyposażenie</t>
  </si>
  <si>
    <t>Suma amortyzacji</t>
  </si>
  <si>
    <t>Rzeczowe aktywa trwałe netto</t>
  </si>
  <si>
    <t>Suma aktywów</t>
  </si>
  <si>
    <t>Zobowiązania</t>
  </si>
  <si>
    <t>Zobowiązania narosłe</t>
  </si>
  <si>
    <t>Suma zobowiązań bieżących</t>
  </si>
  <si>
    <t>Akcje zwykłe</t>
  </si>
  <si>
    <t>Dopłaty do kapitału</t>
  </si>
  <si>
    <t>Zobowiązania i kapitał własny razem</t>
  </si>
  <si>
    <t>Zobowiązania długoterminowe</t>
  </si>
  <si>
    <t>Dywidendy</t>
  </si>
  <si>
    <t>Dochód</t>
  </si>
  <si>
    <t>Koszt wyrobów sprzedanych</t>
  </si>
  <si>
    <t>Koszty ogólne</t>
  </si>
  <si>
    <t>Przychody z tytułu odsetek</t>
  </si>
  <si>
    <t>Koszty odsetkowe</t>
  </si>
  <si>
    <t>Marża brutto</t>
  </si>
  <si>
    <t>Dochody zwykłe netto (strata)</t>
  </si>
  <si>
    <t>Dochód netto (strata)</t>
  </si>
  <si>
    <t>Zyski nierozliczone</t>
  </si>
  <si>
    <t>Numer rachunku</t>
  </si>
  <si>
    <t>Drobne wydatki</t>
  </si>
  <si>
    <t>Rachunek bieżący</t>
  </si>
  <si>
    <t>Rachunek inwestycji</t>
  </si>
  <si>
    <t>Koszty przyszłych okresów</t>
  </si>
  <si>
    <t>Opłacone ubezpieczenie</t>
  </si>
  <si>
    <t>Aktywa trwałe</t>
  </si>
  <si>
    <t>Meble biurowe i sklepowe oraz sprzęt</t>
  </si>
  <si>
    <t>Suma amortyzacji mebli i sprzęt</t>
  </si>
  <si>
    <t>Zobowiązania oczekujące</t>
  </si>
  <si>
    <t>Podatek obrotowy</t>
  </si>
  <si>
    <t>Podatek federalny</t>
  </si>
  <si>
    <t>'Podatek federalny (FUTA)</t>
  </si>
  <si>
    <t>Podatek stanowy</t>
  </si>
  <si>
    <t>Zobowiązania z tytułu planu emerytalnego</t>
  </si>
  <si>
    <t>Składki członkowskie</t>
  </si>
  <si>
    <t>Usługi medyczne i stomatologiczne</t>
  </si>
  <si>
    <t>Inne zobowiązania</t>
  </si>
  <si>
    <t>Zobowiązania z tytułu odsetek</t>
  </si>
  <si>
    <t>Karta kredytowa Visa</t>
  </si>
  <si>
    <t>Zobowiązania wobec banku</t>
  </si>
  <si>
    <t>Dochody ze sprzedaży akcji powyżej ceny nominalnej</t>
  </si>
  <si>
    <t>Wypłaty właściciela</t>
  </si>
  <si>
    <t>Sprzedaż</t>
  </si>
  <si>
    <t>Odpis</t>
  </si>
  <si>
    <t>Koszt wyrobów materiały</t>
  </si>
  <si>
    <t>Upust gotówkowy - otrzymany</t>
  </si>
  <si>
    <t>Upust gotówkowy - przyznany</t>
  </si>
  <si>
    <t>Pensje pracowników</t>
  </si>
  <si>
    <t>Pensje</t>
  </si>
  <si>
    <t>Dodatki pracowników</t>
  </si>
  <si>
    <t>Opłaty bankowe</t>
  </si>
  <si>
    <t>Koszty napraw i konserwacji</t>
  </si>
  <si>
    <t>Amortyzacja kosztów/wyposażenia</t>
  </si>
  <si>
    <t>Amortyzacja kosztów/mebli</t>
  </si>
  <si>
    <t>Artykuły biurowe</t>
  </si>
  <si>
    <t>Ubezpieczenie pojazdu</t>
  </si>
  <si>
    <t>Inne ubezpieczenia</t>
  </si>
  <si>
    <t>Koszty transportu</t>
  </si>
  <si>
    <t>Koszty księgowości</t>
  </si>
  <si>
    <t>Inne wydatki</t>
  </si>
  <si>
    <t>Koszty podróży</t>
  </si>
  <si>
    <t>Użytkowe - Energia elektryczna i gaz</t>
  </si>
  <si>
    <t>Użytkowe - Telefon</t>
  </si>
  <si>
    <t>Wynajem lokali</t>
  </si>
  <si>
    <t>Dochody z tytułu opłat finansowych</t>
  </si>
  <si>
    <t>Zyski nierozliczone na początek okresu</t>
  </si>
  <si>
    <t>Zyski nierozliczone na koniec okresu</t>
  </si>
  <si>
    <t>Rachunek zysków i strat</t>
  </si>
  <si>
    <t>z informacją o zyskach nierozliczonych</t>
  </si>
  <si>
    <t>Dochody netto (strata)</t>
  </si>
  <si>
    <t>Płynność</t>
  </si>
  <si>
    <t>Wypłacalność</t>
  </si>
  <si>
    <t>Środki obrotowe</t>
  </si>
  <si>
    <t>Zobowiązania bieżące</t>
  </si>
  <si>
    <t>Kapitał obrotowy netto</t>
  </si>
  <si>
    <t>Wskaźnik płynności bieżącej</t>
  </si>
  <si>
    <t>Wskaźnik szybki płynności</t>
  </si>
  <si>
    <t>Obroty na koncie należności</t>
  </si>
  <si>
    <t>Rotacja należności</t>
  </si>
  <si>
    <t>Wskaźnik rotacji zapasów</t>
  </si>
  <si>
    <t>Cykl operacyjny</t>
  </si>
  <si>
    <t>Wskaźnik zadłużenia</t>
  </si>
  <si>
    <t>Wskaźnik długu do kapitału</t>
  </si>
  <si>
    <t>Zdolność spłaty odsetek</t>
  </si>
  <si>
    <t>Stopa zysku brutto</t>
  </si>
  <si>
    <t>Stopa zysku netto</t>
  </si>
  <si>
    <t>Wskaźnik rentowności aktywów</t>
  </si>
  <si>
    <t>Rentowność kapitału własnego</t>
  </si>
  <si>
    <t>Wykorzystanie aktywów</t>
  </si>
  <si>
    <t>Średni czas przechowywania zapasów</t>
  </si>
  <si>
    <t>Rentowność</t>
  </si>
  <si>
    <t>Nazwa konta</t>
  </si>
  <si>
    <t>Suma amortyzacji mebli i wyposażenia</t>
  </si>
  <si>
    <t>Dystrybucje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</si>
</sst>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0.00&quot;:1&quot;_)"/>
    <numFmt numFmtId="166" formatCode="_-* #,##0.00\ [$zł-415]_-;\-* #,##0.00\ [$zł-415]_-;_-* &quot;-&quot;??\ [$zł-415]_-;_-@_-"/>
    <numFmt numFmtId="167" formatCode="#,##0.00\ &quot;zł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double">
        <color theme="0" tint="-0.249977111117893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164" fontId="0" fillId="0" borderId="0" xfId="1" applyFont="1"/>
    <xf numFmtId="10" fontId="0" fillId="0" borderId="0" xfId="2" applyNumberFormat="1" applyFont="1"/>
    <xf numFmtId="10" fontId="0" fillId="0" borderId="1" xfId="2" applyNumberFormat="1" applyFont="1" applyBorder="1"/>
    <xf numFmtId="10" fontId="0" fillId="0" borderId="2" xfId="2" applyNumberFormat="1" applyFont="1" applyBorder="1"/>
    <xf numFmtId="0" fontId="4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165" fontId="0" fillId="0" borderId="0" xfId="0" applyNumberFormat="1"/>
    <xf numFmtId="0" fontId="0" fillId="0" borderId="3" xfId="0" applyBorder="1"/>
    <xf numFmtId="0" fontId="6" fillId="2" borderId="3" xfId="0" applyFont="1" applyFill="1" applyBorder="1"/>
    <xf numFmtId="0" fontId="6" fillId="2" borderId="3" xfId="0" quotePrefix="1" applyFont="1" applyFill="1" applyBorder="1" applyAlignment="1">
      <alignment horizontal="left"/>
    </xf>
    <xf numFmtId="0" fontId="0" fillId="0" borderId="3" xfId="0" quotePrefix="1" applyBorder="1" applyAlignment="1">
      <alignment horizontal="left"/>
    </xf>
    <xf numFmtId="0" fontId="0" fillId="0" borderId="0" xfId="0" quotePrefix="1" applyAlignment="1">
      <alignment horizontal="left"/>
    </xf>
    <xf numFmtId="0" fontId="0" fillId="0" borderId="0" xfId="0" applyAlignment="1">
      <alignment horizontal="left"/>
    </xf>
    <xf numFmtId="166" fontId="0" fillId="0" borderId="0" xfId="0" applyNumberFormat="1"/>
    <xf numFmtId="0" fontId="0" fillId="0" borderId="3" xfId="0" applyBorder="1" applyAlignment="1">
      <alignment horizontal="left"/>
    </xf>
    <xf numFmtId="166" fontId="0" fillId="0" borderId="1" xfId="0" applyNumberFormat="1" applyBorder="1"/>
    <xf numFmtId="166" fontId="0" fillId="0" borderId="2" xfId="0" applyNumberFormat="1" applyBorder="1"/>
    <xf numFmtId="167" fontId="0" fillId="0" borderId="0" xfId="0" applyNumberFormat="1"/>
    <xf numFmtId="167" fontId="0" fillId="0" borderId="2" xfId="0" applyNumberFormat="1" applyBorder="1"/>
    <xf numFmtId="0" fontId="5" fillId="0" borderId="4" xfId="0" applyFont="1" applyBorder="1" applyAlignment="1">
      <alignment horizontal="center"/>
    </xf>
    <xf numFmtId="0" fontId="4" fillId="0" borderId="0" xfId="0" quotePrefix="1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quotePrefix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nancial%20statemen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ial Balance"/>
      <sheetName val="Balance Sheet"/>
      <sheetName val="Income Statement"/>
      <sheetName val="CS Balance Sheet"/>
      <sheetName val="CS Inc Statement"/>
      <sheetName val="Ratios"/>
    </sheetNames>
    <sheetDataSet>
      <sheetData sheetId="0">
        <row r="2">
          <cell r="C2">
            <v>449.87</v>
          </cell>
          <cell r="D2" t="str">
            <v>Cash</v>
          </cell>
        </row>
        <row r="3">
          <cell r="C3">
            <v>2412.23</v>
          </cell>
          <cell r="D3" t="str">
            <v>Cash</v>
          </cell>
        </row>
        <row r="4">
          <cell r="C4">
            <v>327283.53000000003</v>
          </cell>
          <cell r="D4" t="str">
            <v>Marketable Securities</v>
          </cell>
        </row>
        <row r="5">
          <cell r="C5">
            <v>16586.25</v>
          </cell>
          <cell r="D5" t="str">
            <v>Accounts Receivable</v>
          </cell>
        </row>
        <row r="6">
          <cell r="C6">
            <v>2587.5</v>
          </cell>
          <cell r="D6" t="str">
            <v>Prepaid and Other</v>
          </cell>
        </row>
        <row r="7">
          <cell r="C7">
            <v>1000</v>
          </cell>
          <cell r="D7" t="str">
            <v>Prepaid and Other</v>
          </cell>
        </row>
        <row r="8">
          <cell r="C8">
            <v>46005.75</v>
          </cell>
          <cell r="D8" t="str">
            <v>Inventory</v>
          </cell>
        </row>
        <row r="9">
          <cell r="C9">
            <v>65000</v>
          </cell>
          <cell r="D9" t="str">
            <v>Property and Equipment</v>
          </cell>
        </row>
        <row r="10">
          <cell r="C10">
            <v>-6750</v>
          </cell>
          <cell r="D10" t="str">
            <v>Accumulated Depreciation</v>
          </cell>
        </row>
        <row r="11">
          <cell r="C11">
            <v>12000</v>
          </cell>
          <cell r="D11" t="str">
            <v>Property and Equipment</v>
          </cell>
        </row>
        <row r="12">
          <cell r="C12">
            <v>-9525</v>
          </cell>
          <cell r="D12" t="str">
            <v>Accumulated Depreciation</v>
          </cell>
        </row>
        <row r="13">
          <cell r="C13">
            <v>-15502.62</v>
          </cell>
          <cell r="D13" t="str">
            <v>Accounts Payable</v>
          </cell>
        </row>
        <row r="14">
          <cell r="C14">
            <v>-846.59</v>
          </cell>
          <cell r="D14" t="str">
            <v>Accrued Expenses</v>
          </cell>
        </row>
        <row r="15">
          <cell r="C15">
            <v>-11426.42</v>
          </cell>
          <cell r="D15" t="str">
            <v>Accrued Expenses</v>
          </cell>
        </row>
        <row r="16">
          <cell r="C16">
            <v>-1517.3</v>
          </cell>
          <cell r="D16" t="str">
            <v>Accrued Expenses</v>
          </cell>
        </row>
        <row r="17">
          <cell r="C17">
            <v>-145</v>
          </cell>
          <cell r="D17" t="str">
            <v>Accrued Expenses</v>
          </cell>
        </row>
        <row r="18">
          <cell r="C18">
            <v>-740</v>
          </cell>
          <cell r="D18" t="str">
            <v>Accrued Expenses</v>
          </cell>
        </row>
        <row r="19">
          <cell r="C19">
            <v>-2000</v>
          </cell>
          <cell r="D19" t="str">
            <v>Accrued Expenses</v>
          </cell>
        </row>
        <row r="20">
          <cell r="C20">
            <v>-85</v>
          </cell>
          <cell r="D20" t="str">
            <v>Accrued Expenses</v>
          </cell>
        </row>
        <row r="21">
          <cell r="C21">
            <v>-990</v>
          </cell>
          <cell r="D21" t="str">
            <v>Accrued Expenses</v>
          </cell>
        </row>
        <row r="22">
          <cell r="C22">
            <v>-500</v>
          </cell>
          <cell r="D22" t="str">
            <v>Accrued Expenses</v>
          </cell>
        </row>
        <row r="23">
          <cell r="C23">
            <v>-2000</v>
          </cell>
          <cell r="D23" t="str">
            <v>Accrued Expenses</v>
          </cell>
        </row>
        <row r="24">
          <cell r="C24">
            <v>-300</v>
          </cell>
          <cell r="D24" t="str">
            <v>Accrued Expenses</v>
          </cell>
        </row>
        <row r="25">
          <cell r="C25">
            <v>-20000</v>
          </cell>
          <cell r="D25" t="str">
            <v>Long Term Debt</v>
          </cell>
        </row>
        <row r="26">
          <cell r="C26">
            <v>-1000</v>
          </cell>
          <cell r="D26" t="str">
            <v>Common Stock</v>
          </cell>
        </row>
        <row r="27">
          <cell r="C27">
            <v>-36000</v>
          </cell>
          <cell r="D27" t="str">
            <v>Additional Paid in Capital</v>
          </cell>
        </row>
        <row r="28">
          <cell r="C28">
            <v>12000</v>
          </cell>
          <cell r="D28" t="str">
            <v>Dividends</v>
          </cell>
        </row>
        <row r="29">
          <cell r="C29">
            <v>-76484.479999999996</v>
          </cell>
          <cell r="D29" t="str">
            <v>Beginning Retained Earnings</v>
          </cell>
        </row>
        <row r="30">
          <cell r="C30">
            <v>-1198873.98</v>
          </cell>
          <cell r="D30" t="str">
            <v>Revenue</v>
          </cell>
        </row>
        <row r="31">
          <cell r="C31">
            <v>3414.9</v>
          </cell>
          <cell r="D31" t="str">
            <v>Revenue</v>
          </cell>
        </row>
        <row r="32">
          <cell r="C32">
            <v>8.83</v>
          </cell>
          <cell r="D32" t="str">
            <v>Revenue</v>
          </cell>
        </row>
        <row r="33">
          <cell r="C33">
            <v>870946.22</v>
          </cell>
          <cell r="D33" t="str">
            <v>Cost of Goods Sold</v>
          </cell>
        </row>
        <row r="34">
          <cell r="C34">
            <v>-770.39</v>
          </cell>
          <cell r="D34" t="str">
            <v>Cost of Goods Sold</v>
          </cell>
        </row>
        <row r="35">
          <cell r="C35">
            <v>2800</v>
          </cell>
          <cell r="D35" t="str">
            <v>Overhead</v>
          </cell>
        </row>
        <row r="36">
          <cell r="C36">
            <v>5400</v>
          </cell>
          <cell r="D36" t="str">
            <v>Overhead</v>
          </cell>
        </row>
        <row r="37">
          <cell r="C37">
            <v>250</v>
          </cell>
          <cell r="D37" t="str">
            <v>Overhead</v>
          </cell>
        </row>
        <row r="38">
          <cell r="C38">
            <v>25</v>
          </cell>
          <cell r="D38" t="str">
            <v>Overhead</v>
          </cell>
        </row>
        <row r="39">
          <cell r="C39">
            <v>47.63</v>
          </cell>
          <cell r="D39" t="str">
            <v>Overhead</v>
          </cell>
        </row>
        <row r="40">
          <cell r="C40">
            <v>1750</v>
          </cell>
          <cell r="D40" t="str">
            <v>Overhead</v>
          </cell>
        </row>
        <row r="41">
          <cell r="C41">
            <v>525</v>
          </cell>
          <cell r="D41" t="str">
            <v>Overhead</v>
          </cell>
        </row>
        <row r="42">
          <cell r="C42">
            <v>103.47</v>
          </cell>
          <cell r="D42" t="str">
            <v>Overhead</v>
          </cell>
        </row>
        <row r="43">
          <cell r="C43">
            <v>2781.72</v>
          </cell>
          <cell r="D43" t="str">
            <v>Overhead</v>
          </cell>
        </row>
        <row r="44">
          <cell r="C44">
            <v>200</v>
          </cell>
          <cell r="D44" t="str">
            <v>Overhead</v>
          </cell>
        </row>
        <row r="45">
          <cell r="C45">
            <v>292.67</v>
          </cell>
          <cell r="D45" t="str">
            <v>Overhead</v>
          </cell>
        </row>
        <row r="46">
          <cell r="C46">
            <v>6615.54</v>
          </cell>
          <cell r="D46" t="str">
            <v>Overhead</v>
          </cell>
        </row>
        <row r="47">
          <cell r="C47">
            <v>240</v>
          </cell>
          <cell r="D47" t="str">
            <v>Overhead</v>
          </cell>
        </row>
        <row r="48">
          <cell r="C48">
            <v>-400</v>
          </cell>
          <cell r="D48" t="str">
            <v>Overhead</v>
          </cell>
        </row>
        <row r="49">
          <cell r="C49">
            <v>1609.56</v>
          </cell>
          <cell r="D49" t="str">
            <v>Overhead</v>
          </cell>
        </row>
        <row r="50">
          <cell r="C50">
            <v>1147.4100000000001</v>
          </cell>
          <cell r="D50" t="str">
            <v>Overhead</v>
          </cell>
        </row>
        <row r="51">
          <cell r="C51">
            <v>6500</v>
          </cell>
          <cell r="D51" t="str">
            <v>Overhead</v>
          </cell>
        </row>
        <row r="52">
          <cell r="C52">
            <v>-8.35</v>
          </cell>
          <cell r="D52" t="str">
            <v>Overhead</v>
          </cell>
        </row>
        <row r="53">
          <cell r="C53">
            <v>-5387.03</v>
          </cell>
          <cell r="D53" t="str">
            <v>Interest Income</v>
          </cell>
        </row>
        <row r="54">
          <cell r="C54">
            <v>1269.08</v>
          </cell>
          <cell r="D54" t="str">
            <v>Interest Expense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showGridLines="0" workbookViewId="0">
      <selection activeCell="A10" sqref="A10"/>
    </sheetView>
  </sheetViews>
  <sheetFormatPr defaultRowHeight="14.95" x14ac:dyDescent="0.35"/>
  <cols>
    <col min="1" max="1" width="48.54296875" customWidth="1"/>
    <col min="2" max="2" width="16" customWidth="1"/>
    <col min="3" max="3" width="10.453125" customWidth="1"/>
    <col min="4" max="4" width="41.26953125" customWidth="1"/>
  </cols>
  <sheetData>
    <row r="1" spans="1:4" x14ac:dyDescent="0.35">
      <c r="A1" s="12" t="s">
        <v>106</v>
      </c>
      <c r="B1" s="12" t="s">
        <v>34</v>
      </c>
      <c r="C1" s="11" t="s">
        <v>1</v>
      </c>
      <c r="D1" s="11" t="s">
        <v>2</v>
      </c>
    </row>
    <row r="2" spans="1:4" x14ac:dyDescent="0.35">
      <c r="A2" s="10" t="s">
        <v>35</v>
      </c>
      <c r="B2" s="10">
        <v>1010</v>
      </c>
      <c r="C2" s="10">
        <v>449.87</v>
      </c>
      <c r="D2" s="10" t="s">
        <v>7</v>
      </c>
    </row>
    <row r="3" spans="1:4" x14ac:dyDescent="0.35">
      <c r="A3" s="10" t="s">
        <v>36</v>
      </c>
      <c r="B3" s="10">
        <v>1110</v>
      </c>
      <c r="C3" s="10">
        <v>2412.23</v>
      </c>
      <c r="D3" s="10" t="s">
        <v>7</v>
      </c>
    </row>
    <row r="4" spans="1:4" x14ac:dyDescent="0.35">
      <c r="A4" s="10" t="s">
        <v>37</v>
      </c>
      <c r="B4" s="10">
        <v>1115</v>
      </c>
      <c r="C4" s="10">
        <v>327283.53000000003</v>
      </c>
      <c r="D4" s="10" t="s">
        <v>8</v>
      </c>
    </row>
    <row r="5" spans="1:4" x14ac:dyDescent="0.35">
      <c r="A5" s="10" t="s">
        <v>9</v>
      </c>
      <c r="B5" s="10">
        <v>1210</v>
      </c>
      <c r="C5" s="10">
        <v>16586.25</v>
      </c>
      <c r="D5" s="10" t="s">
        <v>9</v>
      </c>
    </row>
    <row r="6" spans="1:4" x14ac:dyDescent="0.35">
      <c r="A6" s="10" t="s">
        <v>38</v>
      </c>
      <c r="B6" s="10">
        <v>1420</v>
      </c>
      <c r="C6" s="10">
        <v>2587.5</v>
      </c>
      <c r="D6" s="10" t="s">
        <v>11</v>
      </c>
    </row>
    <row r="7" spans="1:4" x14ac:dyDescent="0.35">
      <c r="A7" s="10" t="s">
        <v>39</v>
      </c>
      <c r="B7" s="10">
        <v>1425</v>
      </c>
      <c r="C7" s="10">
        <v>1000</v>
      </c>
      <c r="D7" s="10" t="s">
        <v>11</v>
      </c>
    </row>
    <row r="8" spans="1:4" x14ac:dyDescent="0.35">
      <c r="A8" s="10" t="s">
        <v>40</v>
      </c>
      <c r="B8" s="10">
        <v>1310</v>
      </c>
      <c r="C8" s="10">
        <v>46005.75</v>
      </c>
      <c r="D8" s="10" t="s">
        <v>10</v>
      </c>
    </row>
    <row r="9" spans="1:4" x14ac:dyDescent="0.35">
      <c r="A9" s="10" t="s">
        <v>13</v>
      </c>
      <c r="B9" s="10">
        <v>1510</v>
      </c>
      <c r="C9" s="10">
        <v>65000</v>
      </c>
      <c r="D9" s="10" t="s">
        <v>13</v>
      </c>
    </row>
    <row r="10" spans="1:4" x14ac:dyDescent="0.35">
      <c r="A10" s="13" t="s">
        <v>107</v>
      </c>
      <c r="B10" s="10">
        <v>1511</v>
      </c>
      <c r="C10" s="10">
        <v>-6750</v>
      </c>
      <c r="D10" s="10" t="s">
        <v>14</v>
      </c>
    </row>
    <row r="11" spans="1:4" x14ac:dyDescent="0.35">
      <c r="A11" s="13" t="s">
        <v>41</v>
      </c>
      <c r="B11" s="10">
        <v>1520</v>
      </c>
      <c r="C11" s="10">
        <v>12000</v>
      </c>
      <c r="D11" s="10" t="s">
        <v>13</v>
      </c>
    </row>
    <row r="12" spans="1:4" x14ac:dyDescent="0.35">
      <c r="A12" s="13" t="s">
        <v>42</v>
      </c>
      <c r="B12" s="10">
        <v>1521</v>
      </c>
      <c r="C12" s="10">
        <v>-9525</v>
      </c>
      <c r="D12" s="10" t="s">
        <v>14</v>
      </c>
    </row>
    <row r="13" spans="1:4" x14ac:dyDescent="0.35">
      <c r="A13" s="10" t="s">
        <v>17</v>
      </c>
      <c r="B13" s="10">
        <v>2010</v>
      </c>
      <c r="C13" s="10">
        <v>-15502.62</v>
      </c>
      <c r="D13" s="13" t="s">
        <v>17</v>
      </c>
    </row>
    <row r="14" spans="1:4" x14ac:dyDescent="0.35">
      <c r="A14" s="10" t="s">
        <v>43</v>
      </c>
      <c r="B14" s="10">
        <v>2015</v>
      </c>
      <c r="C14" s="10">
        <v>-846.59</v>
      </c>
      <c r="D14" s="10" t="s">
        <v>18</v>
      </c>
    </row>
    <row r="15" spans="1:4" x14ac:dyDescent="0.35">
      <c r="A15" s="13" t="s">
        <v>44</v>
      </c>
      <c r="B15" s="10">
        <v>2110</v>
      </c>
      <c r="C15" s="10">
        <v>-11426.42</v>
      </c>
      <c r="D15" s="13" t="s">
        <v>18</v>
      </c>
    </row>
    <row r="16" spans="1:4" x14ac:dyDescent="0.35">
      <c r="A16" s="13" t="s">
        <v>45</v>
      </c>
      <c r="B16" s="10">
        <v>2210</v>
      </c>
      <c r="C16" s="10">
        <v>-1517.3</v>
      </c>
      <c r="D16" s="10" t="s">
        <v>18</v>
      </c>
    </row>
    <row r="17" spans="1:4" x14ac:dyDescent="0.35">
      <c r="A17" s="13" t="s">
        <v>46</v>
      </c>
      <c r="B17" s="10">
        <v>2215</v>
      </c>
      <c r="C17" s="10">
        <v>-145</v>
      </c>
      <c r="D17" s="10" t="s">
        <v>18</v>
      </c>
    </row>
    <row r="18" spans="1:4" x14ac:dyDescent="0.35">
      <c r="A18" s="10" t="s">
        <v>47</v>
      </c>
      <c r="B18" s="10">
        <v>2220</v>
      </c>
      <c r="C18" s="10">
        <v>-740</v>
      </c>
      <c r="D18" s="10" t="s">
        <v>18</v>
      </c>
    </row>
    <row r="19" spans="1:4" x14ac:dyDescent="0.35">
      <c r="A19" s="13" t="s">
        <v>48</v>
      </c>
      <c r="B19" s="10">
        <v>2230</v>
      </c>
      <c r="C19" s="10">
        <v>-2000</v>
      </c>
      <c r="D19" s="10" t="s">
        <v>18</v>
      </c>
    </row>
    <row r="20" spans="1:4" x14ac:dyDescent="0.35">
      <c r="A20" s="10" t="s">
        <v>49</v>
      </c>
      <c r="B20" s="10">
        <v>2240</v>
      </c>
      <c r="C20" s="10">
        <v>-85</v>
      </c>
      <c r="D20" s="10" t="s">
        <v>18</v>
      </c>
    </row>
    <row r="21" spans="1:4" x14ac:dyDescent="0.35">
      <c r="A21" s="10" t="s">
        <v>50</v>
      </c>
      <c r="B21" s="10">
        <v>2250</v>
      </c>
      <c r="C21" s="10">
        <v>-990</v>
      </c>
      <c r="D21" s="10" t="s">
        <v>18</v>
      </c>
    </row>
    <row r="22" spans="1:4" x14ac:dyDescent="0.35">
      <c r="A22" s="10" t="s">
        <v>51</v>
      </c>
      <c r="B22" s="10">
        <v>2310</v>
      </c>
      <c r="C22" s="10">
        <v>-500</v>
      </c>
      <c r="D22" s="10" t="s">
        <v>18</v>
      </c>
    </row>
    <row r="23" spans="1:4" x14ac:dyDescent="0.35">
      <c r="A23" s="10" t="s">
        <v>52</v>
      </c>
      <c r="B23" s="10">
        <v>2315</v>
      </c>
      <c r="C23" s="10">
        <v>-2000</v>
      </c>
      <c r="D23" s="10" t="s">
        <v>18</v>
      </c>
    </row>
    <row r="24" spans="1:4" x14ac:dyDescent="0.35">
      <c r="A24" s="10" t="s">
        <v>53</v>
      </c>
      <c r="B24" s="10">
        <v>2610</v>
      </c>
      <c r="C24" s="10">
        <v>-300</v>
      </c>
      <c r="D24" s="10" t="s">
        <v>18</v>
      </c>
    </row>
    <row r="25" spans="1:4" x14ac:dyDescent="0.35">
      <c r="A25" s="10" t="s">
        <v>54</v>
      </c>
      <c r="B25" s="10">
        <v>2710</v>
      </c>
      <c r="C25" s="10">
        <v>-20000</v>
      </c>
      <c r="D25" s="10" t="s">
        <v>23</v>
      </c>
    </row>
    <row r="26" spans="1:4" x14ac:dyDescent="0.35">
      <c r="A26" s="10" t="s">
        <v>20</v>
      </c>
      <c r="B26" s="10">
        <v>3015</v>
      </c>
      <c r="C26" s="10">
        <v>-1000</v>
      </c>
      <c r="D26" s="10" t="s">
        <v>20</v>
      </c>
    </row>
    <row r="27" spans="1:4" x14ac:dyDescent="0.35">
      <c r="A27" s="13" t="s">
        <v>55</v>
      </c>
      <c r="B27" s="10">
        <v>3016</v>
      </c>
      <c r="C27" s="10">
        <v>-36000</v>
      </c>
      <c r="D27" s="10" t="s">
        <v>21</v>
      </c>
    </row>
    <row r="28" spans="1:4" x14ac:dyDescent="0.35">
      <c r="A28" s="10" t="s">
        <v>56</v>
      </c>
      <c r="B28" s="10">
        <v>3020</v>
      </c>
      <c r="C28" s="10">
        <v>12000</v>
      </c>
      <c r="D28" s="10" t="s">
        <v>24</v>
      </c>
    </row>
    <row r="29" spans="1:4" x14ac:dyDescent="0.35">
      <c r="A29" s="10" t="s">
        <v>33</v>
      </c>
      <c r="B29" s="10">
        <v>3025</v>
      </c>
      <c r="C29" s="10">
        <v>-76484.479999999996</v>
      </c>
      <c r="D29" s="13" t="s">
        <v>80</v>
      </c>
    </row>
    <row r="30" spans="1:4" x14ac:dyDescent="0.35">
      <c r="A30" s="10" t="s">
        <v>57</v>
      </c>
      <c r="B30" s="10">
        <v>4010</v>
      </c>
      <c r="C30" s="10">
        <v>-1198873.98</v>
      </c>
      <c r="D30" s="10" t="s">
        <v>25</v>
      </c>
    </row>
    <row r="31" spans="1:4" x14ac:dyDescent="0.35">
      <c r="A31" s="13" t="s">
        <v>61</v>
      </c>
      <c r="B31" s="10">
        <v>4020</v>
      </c>
      <c r="C31" s="10">
        <v>3414.9</v>
      </c>
      <c r="D31" s="10" t="s">
        <v>25</v>
      </c>
    </row>
    <row r="32" spans="1:4" x14ac:dyDescent="0.35">
      <c r="A32" s="10" t="s">
        <v>58</v>
      </c>
      <c r="B32" s="10">
        <v>4210</v>
      </c>
      <c r="C32" s="10">
        <v>8.83</v>
      </c>
      <c r="D32" s="10" t="s">
        <v>25</v>
      </c>
    </row>
    <row r="33" spans="1:4" x14ac:dyDescent="0.35">
      <c r="A33" s="10" t="s">
        <v>59</v>
      </c>
      <c r="B33" s="10">
        <v>4510</v>
      </c>
      <c r="C33" s="10">
        <v>870946.22</v>
      </c>
      <c r="D33" s="10" t="s">
        <v>26</v>
      </c>
    </row>
    <row r="34" spans="1:4" x14ac:dyDescent="0.35">
      <c r="A34" s="10" t="s">
        <v>60</v>
      </c>
      <c r="B34" s="10">
        <v>4530</v>
      </c>
      <c r="C34" s="10">
        <v>-770.39</v>
      </c>
      <c r="D34" s="10" t="s">
        <v>26</v>
      </c>
    </row>
    <row r="35" spans="1:4" x14ac:dyDescent="0.35">
      <c r="A35" s="10" t="s">
        <v>62</v>
      </c>
      <c r="B35" s="10">
        <v>5100</v>
      </c>
      <c r="C35" s="10">
        <v>2800</v>
      </c>
      <c r="D35" s="10" t="s">
        <v>27</v>
      </c>
    </row>
    <row r="36" spans="1:4" x14ac:dyDescent="0.35">
      <c r="A36" s="13" t="s">
        <v>63</v>
      </c>
      <c r="B36" s="10">
        <v>5110</v>
      </c>
      <c r="C36" s="10">
        <v>5400</v>
      </c>
      <c r="D36" s="10" t="s">
        <v>27</v>
      </c>
    </row>
    <row r="37" spans="1:4" x14ac:dyDescent="0.35">
      <c r="A37" s="10" t="s">
        <v>64</v>
      </c>
      <c r="B37" s="10">
        <v>5120</v>
      </c>
      <c r="C37" s="10">
        <v>250</v>
      </c>
      <c r="D37" s="10" t="s">
        <v>27</v>
      </c>
    </row>
    <row r="38" spans="1:4" x14ac:dyDescent="0.35">
      <c r="A38" s="10" t="s">
        <v>65</v>
      </c>
      <c r="B38" s="10">
        <v>5510</v>
      </c>
      <c r="C38" s="10">
        <v>25</v>
      </c>
      <c r="D38" s="10" t="s">
        <v>27</v>
      </c>
    </row>
    <row r="39" spans="1:4" x14ac:dyDescent="0.35">
      <c r="A39" s="17" t="s">
        <v>66</v>
      </c>
      <c r="B39" s="10">
        <v>5710</v>
      </c>
      <c r="C39" s="10">
        <v>47.63</v>
      </c>
      <c r="D39" s="10" t="s">
        <v>27</v>
      </c>
    </row>
    <row r="40" spans="1:4" x14ac:dyDescent="0.35">
      <c r="A40" s="10" t="s">
        <v>67</v>
      </c>
      <c r="B40" s="10">
        <v>6120</v>
      </c>
      <c r="C40" s="10">
        <v>1750</v>
      </c>
      <c r="D40" s="10" t="s">
        <v>27</v>
      </c>
    </row>
    <row r="41" spans="1:4" x14ac:dyDescent="0.35">
      <c r="A41" s="13" t="s">
        <v>68</v>
      </c>
      <c r="B41" s="10">
        <v>6125</v>
      </c>
      <c r="C41" s="10">
        <v>525</v>
      </c>
      <c r="D41" s="10" t="s">
        <v>27</v>
      </c>
    </row>
    <row r="42" spans="1:4" x14ac:dyDescent="0.35">
      <c r="A42" s="10" t="s">
        <v>69</v>
      </c>
      <c r="B42" s="10">
        <v>6210</v>
      </c>
      <c r="C42" s="10">
        <v>103.47</v>
      </c>
      <c r="D42" s="10" t="s">
        <v>27</v>
      </c>
    </row>
    <row r="43" spans="1:4" x14ac:dyDescent="0.35">
      <c r="A43" s="13" t="s">
        <v>70</v>
      </c>
      <c r="B43" s="10">
        <v>6310</v>
      </c>
      <c r="C43" s="10">
        <v>2781.72</v>
      </c>
      <c r="D43" s="10" t="s">
        <v>27</v>
      </c>
    </row>
    <row r="44" spans="1:4" x14ac:dyDescent="0.35">
      <c r="A44" s="10" t="s">
        <v>71</v>
      </c>
      <c r="B44" s="10">
        <v>6320</v>
      </c>
      <c r="C44" s="10">
        <v>200</v>
      </c>
      <c r="D44" s="10" t="s">
        <v>27</v>
      </c>
    </row>
    <row r="45" spans="1:4" x14ac:dyDescent="0.35">
      <c r="A45" s="10" t="s">
        <v>72</v>
      </c>
      <c r="B45" s="10">
        <v>6410</v>
      </c>
      <c r="C45" s="10">
        <v>292.67</v>
      </c>
      <c r="D45" s="10" t="s">
        <v>27</v>
      </c>
    </row>
    <row r="46" spans="1:4" x14ac:dyDescent="0.35">
      <c r="A46" s="10" t="s">
        <v>73</v>
      </c>
      <c r="B46" s="10">
        <v>6620</v>
      </c>
      <c r="C46" s="10">
        <v>6615.54</v>
      </c>
      <c r="D46" s="10" t="s">
        <v>27</v>
      </c>
    </row>
    <row r="47" spans="1:4" x14ac:dyDescent="0.35">
      <c r="A47" s="10" t="s">
        <v>74</v>
      </c>
      <c r="B47" s="10">
        <v>6760</v>
      </c>
      <c r="C47" s="10">
        <v>240</v>
      </c>
      <c r="D47" s="10" t="s">
        <v>27</v>
      </c>
    </row>
    <row r="48" spans="1:4" x14ac:dyDescent="0.35">
      <c r="A48" s="10" t="s">
        <v>75</v>
      </c>
      <c r="B48" s="10">
        <v>6770</v>
      </c>
      <c r="C48" s="10">
        <v>-400</v>
      </c>
      <c r="D48" s="10" t="s">
        <v>27</v>
      </c>
    </row>
    <row r="49" spans="1:4" x14ac:dyDescent="0.35">
      <c r="A49" s="13" t="s">
        <v>76</v>
      </c>
      <c r="B49" s="10">
        <v>6810</v>
      </c>
      <c r="C49" s="10">
        <v>1609.56</v>
      </c>
      <c r="D49" s="10" t="s">
        <v>27</v>
      </c>
    </row>
    <row r="50" spans="1:4" x14ac:dyDescent="0.35">
      <c r="A50" s="13" t="s">
        <v>77</v>
      </c>
      <c r="B50" s="10">
        <v>6815</v>
      </c>
      <c r="C50" s="10">
        <v>1147.4100000000001</v>
      </c>
      <c r="D50" s="10" t="s">
        <v>27</v>
      </c>
    </row>
    <row r="51" spans="1:4" x14ac:dyDescent="0.35">
      <c r="A51" s="10" t="s">
        <v>78</v>
      </c>
      <c r="B51" s="10">
        <v>6915</v>
      </c>
      <c r="C51" s="10">
        <v>6500</v>
      </c>
      <c r="D51" s="10" t="s">
        <v>27</v>
      </c>
    </row>
    <row r="52" spans="1:4" x14ac:dyDescent="0.35">
      <c r="A52" s="10" t="s">
        <v>79</v>
      </c>
      <c r="B52" s="10">
        <v>8020</v>
      </c>
      <c r="C52" s="10">
        <v>-8.35</v>
      </c>
      <c r="D52" s="10" t="s">
        <v>27</v>
      </c>
    </row>
    <row r="53" spans="1:4" x14ac:dyDescent="0.35">
      <c r="A53" s="10" t="s">
        <v>28</v>
      </c>
      <c r="B53" s="10">
        <v>8030</v>
      </c>
      <c r="C53" s="10">
        <v>-5387.03</v>
      </c>
      <c r="D53" s="10" t="s">
        <v>28</v>
      </c>
    </row>
    <row r="54" spans="1:4" x14ac:dyDescent="0.35">
      <c r="A54" s="10" t="s">
        <v>29</v>
      </c>
      <c r="B54" s="10">
        <v>9010</v>
      </c>
      <c r="C54" s="10">
        <v>1269.08</v>
      </c>
      <c r="D54" s="13" t="s">
        <v>29</v>
      </c>
    </row>
  </sheetData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showGridLines="0" topLeftCell="A10" workbookViewId="0">
      <selection activeCell="A12" sqref="A12"/>
    </sheetView>
  </sheetViews>
  <sheetFormatPr defaultRowHeight="14.95" x14ac:dyDescent="0.35"/>
  <cols>
    <col min="1" max="1" width="42.81640625" customWidth="1"/>
    <col min="2" max="2" width="17.453125" customWidth="1"/>
    <col min="4" max="4" width="11.54296875" bestFit="1" customWidth="1"/>
  </cols>
  <sheetData>
    <row r="1" spans="1:4" ht="20.8" x14ac:dyDescent="0.45">
      <c r="A1" s="6" t="s">
        <v>3</v>
      </c>
      <c r="B1" s="6"/>
    </row>
    <row r="3" spans="1:4" ht="18.7" thickBot="1" x14ac:dyDescent="0.45">
      <c r="A3" s="22" t="s">
        <v>4</v>
      </c>
      <c r="B3" s="22"/>
    </row>
    <row r="4" spans="1:4" ht="15.5" thickTop="1" x14ac:dyDescent="0.35">
      <c r="A4" s="15" t="s">
        <v>7</v>
      </c>
      <c r="B4" s="16">
        <f>SUMIF(Klasa,A4,Saldo)</f>
        <v>2862.1</v>
      </c>
    </row>
    <row r="5" spans="1:4" x14ac:dyDescent="0.35">
      <c r="A5" s="14" t="s">
        <v>8</v>
      </c>
      <c r="B5" s="2">
        <f>SUMIF(Klasa,A5,Saldo)</f>
        <v>327283.53000000003</v>
      </c>
    </row>
    <row r="6" spans="1:4" x14ac:dyDescent="0.35">
      <c r="A6" t="s">
        <v>9</v>
      </c>
      <c r="B6" s="2">
        <f>SUMIF(Klasa,A6,Saldo)</f>
        <v>16586.25</v>
      </c>
      <c r="D6" s="2">
        <v>17282.560000000001</v>
      </c>
    </row>
    <row r="7" spans="1:4" x14ac:dyDescent="0.35">
      <c r="A7" s="14" t="s">
        <v>10</v>
      </c>
      <c r="B7" s="2">
        <f>SUMIF(Klasa,A7,Saldo)</f>
        <v>46005.75</v>
      </c>
      <c r="D7" s="2">
        <v>39248.449999999997</v>
      </c>
    </row>
    <row r="8" spans="1:4" x14ac:dyDescent="0.35">
      <c r="A8" t="s">
        <v>11</v>
      </c>
      <c r="B8" s="2">
        <f>SUMIF(Klasa,A8,Saldo)</f>
        <v>3587.5</v>
      </c>
    </row>
    <row r="9" spans="1:4" x14ac:dyDescent="0.35">
      <c r="A9" t="s">
        <v>12</v>
      </c>
      <c r="B9" s="18">
        <f>SUM(B4:B8)</f>
        <v>396325.13</v>
      </c>
    </row>
    <row r="11" spans="1:4" x14ac:dyDescent="0.35">
      <c r="A11" t="s">
        <v>13</v>
      </c>
      <c r="B11" s="16">
        <f>SUMIF(Klasa,A11,Saldo)</f>
        <v>77000</v>
      </c>
    </row>
    <row r="12" spans="1:4" x14ac:dyDescent="0.35">
      <c r="A12" t="s">
        <v>14</v>
      </c>
      <c r="B12" s="2">
        <f>-SUMIF(Klasa,A12,Saldo)</f>
        <v>16275</v>
      </c>
    </row>
    <row r="13" spans="1:4" x14ac:dyDescent="0.35">
      <c r="A13" t="s">
        <v>15</v>
      </c>
      <c r="B13" s="18">
        <f>Budynki_i_wyposażenie-Suma_amortyzacji</f>
        <v>60725</v>
      </c>
    </row>
    <row r="15" spans="1:4" ht="15.5" thickBot="1" x14ac:dyDescent="0.4">
      <c r="A15" t="s">
        <v>16</v>
      </c>
      <c r="B15" s="19">
        <f>Środki_obrotowe_razem+Net_PP_E</f>
        <v>457050.13</v>
      </c>
      <c r="D15" s="2">
        <v>482365</v>
      </c>
    </row>
    <row r="16" spans="1:4" ht="15.5" thickTop="1" x14ac:dyDescent="0.35"/>
    <row r="17" spans="1:4" ht="18.7" thickBot="1" x14ac:dyDescent="0.45">
      <c r="A17" s="22" t="s">
        <v>5</v>
      </c>
      <c r="B17" s="22"/>
    </row>
    <row r="18" spans="1:4" ht="15.5" thickTop="1" x14ac:dyDescent="0.35">
      <c r="A18" t="s">
        <v>17</v>
      </c>
      <c r="B18" s="16">
        <f>-SUMIF(Klasa,A18,Saldo)</f>
        <v>15502.62</v>
      </c>
    </row>
    <row r="19" spans="1:4" x14ac:dyDescent="0.35">
      <c r="A19" t="s">
        <v>18</v>
      </c>
      <c r="B19" s="2">
        <f>-SUMIF(Klasa,A19,Saldo)</f>
        <v>20550.309999999998</v>
      </c>
    </row>
    <row r="20" spans="1:4" x14ac:dyDescent="0.35">
      <c r="A20" t="s">
        <v>19</v>
      </c>
      <c r="B20" s="18">
        <f>SUM(B18:B19)</f>
        <v>36052.93</v>
      </c>
    </row>
    <row r="22" spans="1:4" x14ac:dyDescent="0.35">
      <c r="A22" s="14" t="s">
        <v>23</v>
      </c>
      <c r="B22" s="16">
        <f>-SUMIF(Klasa,A22,Saldo)</f>
        <v>20000</v>
      </c>
    </row>
    <row r="24" spans="1:4" ht="18.7" thickBot="1" x14ac:dyDescent="0.45">
      <c r="A24" s="22" t="s">
        <v>6</v>
      </c>
      <c r="B24" s="22"/>
    </row>
    <row r="25" spans="1:4" ht="15.5" thickTop="1" x14ac:dyDescent="0.35">
      <c r="A25" t="s">
        <v>20</v>
      </c>
      <c r="B25" s="16">
        <f>-SUMIF(Klasa,A25,Saldo)</f>
        <v>1000</v>
      </c>
      <c r="D25" s="2">
        <v>1000</v>
      </c>
    </row>
    <row r="26" spans="1:4" x14ac:dyDescent="0.35">
      <c r="A26" t="s">
        <v>21</v>
      </c>
      <c r="B26" s="2">
        <f>-SUMIF(Klasa,A26,Saldo)</f>
        <v>36000</v>
      </c>
      <c r="D26" s="2">
        <v>36000</v>
      </c>
    </row>
    <row r="27" spans="1:4" x14ac:dyDescent="0.35">
      <c r="A27" t="s">
        <v>33</v>
      </c>
      <c r="B27" s="2">
        <f>'Rachunek zysków i strat'!B18</f>
        <v>363997.2</v>
      </c>
    </row>
    <row r="28" spans="1:4" x14ac:dyDescent="0.35">
      <c r="B28" s="2"/>
    </row>
    <row r="29" spans="1:4" ht="15.5" thickBot="1" x14ac:dyDescent="0.4">
      <c r="A29" s="14" t="s">
        <v>22</v>
      </c>
      <c r="B29" s="19">
        <f>Zobowiązania_bieżące_razem+Zobowiązania_długoterminowe+SUM(B25:B27)</f>
        <v>457050.13</v>
      </c>
    </row>
    <row r="30" spans="1:4" ht="15.5" thickTop="1" x14ac:dyDescent="0.35"/>
    <row r="31" spans="1:4" x14ac:dyDescent="0.35">
      <c r="B31" s="1" t="str">
        <f>IF(ABS(Zobowiązania_i_kapitał_własny_razem-Suma_aktywów)&gt;0.01,"Nie zgadza się","")</f>
        <v/>
      </c>
    </row>
  </sheetData>
  <mergeCells count="3">
    <mergeCell ref="A3:B3"/>
    <mergeCell ref="A17:B17"/>
    <mergeCell ref="A24:B24"/>
  </mergeCells>
  <printOptions horizontalCentered="1"/>
  <pageMargins left="0.7" right="0.7" top="0.75" bottom="0.75" header="0.3" footer="0.3"/>
  <pageSetup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showGridLines="0" workbookViewId="0">
      <selection activeCell="A23" sqref="A23"/>
    </sheetView>
  </sheetViews>
  <sheetFormatPr defaultRowHeight="14.95" x14ac:dyDescent="0.35"/>
  <cols>
    <col min="1" max="1" width="36" customWidth="1"/>
    <col min="2" max="2" width="20.1796875" customWidth="1"/>
  </cols>
  <sheetData>
    <row r="1" spans="1:2" ht="20.8" x14ac:dyDescent="0.45">
      <c r="A1" s="23" t="s">
        <v>82</v>
      </c>
      <c r="B1" s="24"/>
    </row>
    <row r="2" spans="1:2" ht="15.75" customHeight="1" x14ac:dyDescent="0.35">
      <c r="A2" s="25" t="s">
        <v>83</v>
      </c>
      <c r="B2" s="26"/>
    </row>
    <row r="4" spans="1:2" x14ac:dyDescent="0.35">
      <c r="A4" t="s">
        <v>25</v>
      </c>
      <c r="B4" s="16">
        <f>-SUMIF(Klasa,A4,Saldo)</f>
        <v>1195450.25</v>
      </c>
    </row>
    <row r="5" spans="1:2" x14ac:dyDescent="0.35">
      <c r="A5" t="s">
        <v>26</v>
      </c>
      <c r="B5" s="2">
        <f>SUMIF(Klasa,A5,Saldo)</f>
        <v>870175.83</v>
      </c>
    </row>
    <row r="6" spans="1:2" x14ac:dyDescent="0.35">
      <c r="A6" s="14" t="s">
        <v>30</v>
      </c>
      <c r="B6" s="18">
        <f>B4-B5</f>
        <v>325274.42000000004</v>
      </c>
    </row>
    <row r="8" spans="1:2" x14ac:dyDescent="0.35">
      <c r="A8" t="s">
        <v>27</v>
      </c>
      <c r="B8" s="2">
        <f>SUMIF(Klasa,A8,Saldo)</f>
        <v>29879.65</v>
      </c>
    </row>
    <row r="9" spans="1:2" x14ac:dyDescent="0.35">
      <c r="A9" t="s">
        <v>31</v>
      </c>
      <c r="B9" s="18">
        <f>B6-B8</f>
        <v>295394.77</v>
      </c>
    </row>
    <row r="11" spans="1:2" x14ac:dyDescent="0.35">
      <c r="A11" t="s">
        <v>29</v>
      </c>
      <c r="B11" s="2">
        <f>SUMIF(Klasa,A11,Saldo)</f>
        <v>1269.08</v>
      </c>
    </row>
    <row r="12" spans="1:2" x14ac:dyDescent="0.35">
      <c r="A12" t="s">
        <v>28</v>
      </c>
      <c r="B12" s="2">
        <f>-SUMIF(Klasa,A12,Saldo)</f>
        <v>5387.03</v>
      </c>
    </row>
    <row r="13" spans="1:2" ht="15.5" thickBot="1" x14ac:dyDescent="0.4">
      <c r="A13" t="s">
        <v>32</v>
      </c>
      <c r="B13" s="19">
        <f>B9-B11+B12</f>
        <v>299512.72000000003</v>
      </c>
    </row>
    <row r="14" spans="1:2" ht="15.5" thickTop="1" x14ac:dyDescent="0.35"/>
    <row r="15" spans="1:2" x14ac:dyDescent="0.35">
      <c r="A15" s="14" t="s">
        <v>80</v>
      </c>
      <c r="B15" s="16">
        <f>-SUMIF(Klasa,A15,Saldo)</f>
        <v>76484.479999999996</v>
      </c>
    </row>
    <row r="16" spans="1:2" x14ac:dyDescent="0.35">
      <c r="A16" t="s">
        <v>32</v>
      </c>
      <c r="B16" s="2">
        <f>B13</f>
        <v>299512.72000000003</v>
      </c>
    </row>
    <row r="17" spans="1:2" x14ac:dyDescent="0.35">
      <c r="A17" t="s">
        <v>24</v>
      </c>
      <c r="B17" s="2">
        <f>-SUMIF(Klasa,A17,Saldo)</f>
        <v>-12000</v>
      </c>
    </row>
    <row r="18" spans="1:2" ht="15.5" thickBot="1" x14ac:dyDescent="0.4">
      <c r="A18" s="14" t="s">
        <v>81</v>
      </c>
      <c r="B18" s="19">
        <f>SUM(B15:B17)</f>
        <v>363997.2</v>
      </c>
    </row>
    <row r="19" spans="1:2" ht="15.5" thickTop="1" x14ac:dyDescent="0.35"/>
  </sheetData>
  <mergeCells count="2">
    <mergeCell ref="A1:B1"/>
    <mergeCell ref="A2:B2"/>
  </mergeCells>
  <printOptions horizontalCentered="1"/>
  <pageMargins left="0.7" right="0.7" top="0.75" bottom="0.75" header="0.3" footer="0.3"/>
  <pageSetup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showGridLines="0" topLeftCell="A19" workbookViewId="0">
      <selection activeCell="B31" sqref="B31"/>
    </sheetView>
  </sheetViews>
  <sheetFormatPr defaultRowHeight="14.95" x14ac:dyDescent="0.35"/>
  <cols>
    <col min="1" max="1" width="32" bestFit="1" customWidth="1"/>
    <col min="2" max="2" width="20" customWidth="1"/>
    <col min="3" max="3" width="16.81640625" customWidth="1"/>
  </cols>
  <sheetData>
    <row r="1" spans="1:3" ht="20.8" x14ac:dyDescent="0.45">
      <c r="A1" s="6" t="s">
        <v>3</v>
      </c>
      <c r="B1" s="6"/>
      <c r="C1" s="8"/>
    </row>
    <row r="3" spans="1:3" ht="18.7" thickBot="1" x14ac:dyDescent="0.45">
      <c r="A3" s="22" t="s">
        <v>4</v>
      </c>
      <c r="B3" s="22"/>
      <c r="C3" s="22"/>
    </row>
    <row r="4" spans="1:3" ht="15.5" thickTop="1" x14ac:dyDescent="0.35">
      <c r="A4" t="s">
        <v>7</v>
      </c>
      <c r="B4" s="16">
        <f>SUMIF(Klasa,A4,Saldo)</f>
        <v>2862.1</v>
      </c>
      <c r="C4" s="3">
        <f>B4/'Bilans WS'!Suma_aktywów</f>
        <v>6.2621139611096924E-3</v>
      </c>
    </row>
    <row r="5" spans="1:3" x14ac:dyDescent="0.35">
      <c r="A5" t="s">
        <v>8</v>
      </c>
      <c r="B5" s="2">
        <f>SUMIF(Klasa,A5,Saldo)</f>
        <v>327283.53000000003</v>
      </c>
      <c r="C5" s="3">
        <f>B5/'Bilans WS'!Suma_aktywów</f>
        <v>0.71607797157830377</v>
      </c>
    </row>
    <row r="6" spans="1:3" x14ac:dyDescent="0.35">
      <c r="A6" t="s">
        <v>9</v>
      </c>
      <c r="B6" s="2">
        <f>SUMIF(Klasa,A6,Saldo)</f>
        <v>16586.25</v>
      </c>
      <c r="C6" s="3">
        <f>B6/'Bilans WS'!Suma_aktywów</f>
        <v>3.6289782917248048E-2</v>
      </c>
    </row>
    <row r="7" spans="1:3" x14ac:dyDescent="0.35">
      <c r="A7" t="s">
        <v>10</v>
      </c>
      <c r="B7" s="2">
        <f>SUMIF(Klasa,A7,Saldo)</f>
        <v>46005.75</v>
      </c>
      <c r="C7" s="3">
        <f>B7/'Bilans WS'!Suma_aktywów</f>
        <v>0.10065799565575007</v>
      </c>
    </row>
    <row r="8" spans="1:3" x14ac:dyDescent="0.35">
      <c r="A8" t="s">
        <v>11</v>
      </c>
      <c r="B8" s="2">
        <f>SUMIF(Klasa,A8,Saldo)</f>
        <v>3587.5</v>
      </c>
      <c r="C8" s="3">
        <f>B8/'Bilans WS'!Suma_aktywów</f>
        <v>7.8492483964505162E-3</v>
      </c>
    </row>
    <row r="9" spans="1:3" x14ac:dyDescent="0.35">
      <c r="A9" t="s">
        <v>12</v>
      </c>
      <c r="B9" s="18">
        <f>SUM(B4:B8)</f>
        <v>396325.13</v>
      </c>
      <c r="C9" s="4">
        <f>B9/'Bilans WS'!Suma_aktywów</f>
        <v>0.86713711250886194</v>
      </c>
    </row>
    <row r="11" spans="1:3" x14ac:dyDescent="0.35">
      <c r="A11" t="s">
        <v>13</v>
      </c>
      <c r="B11" s="16">
        <f>SUMIF(Klasa,A11,Saldo)</f>
        <v>77000</v>
      </c>
      <c r="C11" s="3">
        <f>B11/'Bilans WS'!Suma_aktywów</f>
        <v>0.16847167289942572</v>
      </c>
    </row>
    <row r="12" spans="1:3" x14ac:dyDescent="0.35">
      <c r="A12" s="15" t="s">
        <v>14</v>
      </c>
      <c r="B12" s="2">
        <f>-SUMIF(Klasa,A12,Saldo)</f>
        <v>16275</v>
      </c>
      <c r="C12" s="3">
        <f>B12/'Bilans WS'!Suma_aktywów</f>
        <v>3.5608785408287706E-2</v>
      </c>
    </row>
    <row r="13" spans="1:3" x14ac:dyDescent="0.35">
      <c r="A13" s="14" t="s">
        <v>15</v>
      </c>
      <c r="B13" s="18">
        <f>Budynki_i_wyposażenie-Suma_amortyzacji</f>
        <v>60725</v>
      </c>
      <c r="C13" s="4">
        <f>B13/'Bilans WS'!Suma_aktywów</f>
        <v>0.132862887491138</v>
      </c>
    </row>
    <row r="15" spans="1:3" ht="15.5" thickBot="1" x14ac:dyDescent="0.4">
      <c r="A15" t="s">
        <v>16</v>
      </c>
      <c r="B15" s="19">
        <f>Środki_obrotowe_razem+Net_PP_E</f>
        <v>457050.13</v>
      </c>
      <c r="C15" s="5">
        <f>B15/'Bilans WS'!Suma_aktywów</f>
        <v>1</v>
      </c>
    </row>
    <row r="16" spans="1:3" ht="15.5" thickTop="1" x14ac:dyDescent="0.35"/>
    <row r="17" spans="1:3" ht="18.7" thickBot="1" x14ac:dyDescent="0.45">
      <c r="A17" s="22" t="s">
        <v>5</v>
      </c>
      <c r="B17" s="22"/>
      <c r="C17" s="22"/>
    </row>
    <row r="18" spans="1:3" ht="15.5" thickTop="1" x14ac:dyDescent="0.35">
      <c r="A18" t="s">
        <v>17</v>
      </c>
      <c r="B18" s="16">
        <f>-SUMIF(Klasa,A18,Saldo)</f>
        <v>15502.62</v>
      </c>
      <c r="C18" s="3">
        <f>B18/'Bilans WS'!Suma_aktywów</f>
        <v>3.3918861373040197E-2</v>
      </c>
    </row>
    <row r="19" spans="1:3" x14ac:dyDescent="0.35">
      <c r="A19" t="s">
        <v>18</v>
      </c>
      <c r="B19" s="2">
        <f>-SUMIF(Klasa,A19,Saldo)</f>
        <v>20550.309999999998</v>
      </c>
      <c r="C19" s="3">
        <f>B19/'Bilans WS'!Suma_aktywów</f>
        <v>4.4962923432490871E-2</v>
      </c>
    </row>
    <row r="20" spans="1:3" x14ac:dyDescent="0.35">
      <c r="A20" t="s">
        <v>19</v>
      </c>
      <c r="B20" s="18">
        <f>SUM(B18:B19)</f>
        <v>36052.93</v>
      </c>
      <c r="C20" s="4">
        <f>B20/'Bilans WS'!Suma_aktywów</f>
        <v>7.8881784805531069E-2</v>
      </c>
    </row>
    <row r="22" spans="1:3" x14ac:dyDescent="0.35">
      <c r="A22" t="s">
        <v>23</v>
      </c>
      <c r="B22" s="16">
        <f>-SUMIF(Klasa,A22,Saldo)</f>
        <v>20000</v>
      </c>
      <c r="C22" s="3">
        <f>B22/'Bilans WS'!Suma_aktywów</f>
        <v>4.3758876077772915E-2</v>
      </c>
    </row>
    <row r="24" spans="1:3" ht="18.7" thickBot="1" x14ac:dyDescent="0.45">
      <c r="A24" s="22" t="s">
        <v>6</v>
      </c>
      <c r="B24" s="22"/>
      <c r="C24" s="22"/>
    </row>
    <row r="25" spans="1:3" ht="15.5" thickTop="1" x14ac:dyDescent="0.35">
      <c r="A25" t="s">
        <v>20</v>
      </c>
      <c r="B25" s="16">
        <f>-SUMIF(Klasa,A25,Saldo)</f>
        <v>1000</v>
      </c>
      <c r="C25" s="3">
        <f>B25/'Bilans WS'!Suma_aktywów</f>
        <v>2.1879438038886457E-3</v>
      </c>
    </row>
    <row r="26" spans="1:3" x14ac:dyDescent="0.35">
      <c r="A26" t="s">
        <v>21</v>
      </c>
      <c r="B26" s="2">
        <f>-SUMIF(Klasa,A26,Saldo)</f>
        <v>36000</v>
      </c>
      <c r="C26" s="3">
        <f>B26/'Bilans WS'!Suma_aktywów</f>
        <v>7.8765976939991239E-2</v>
      </c>
    </row>
    <row r="27" spans="1:3" x14ac:dyDescent="0.35">
      <c r="A27" t="s">
        <v>33</v>
      </c>
      <c r="B27" s="2">
        <f>Zyski_nierozdzielone</f>
        <v>363997.2</v>
      </c>
      <c r="C27" s="3">
        <f>B27/'Bilans WS'!Suma_aktywów</f>
        <v>0.7964054183728162</v>
      </c>
    </row>
    <row r="28" spans="1:3" x14ac:dyDescent="0.35">
      <c r="B28" s="2"/>
    </row>
    <row r="29" spans="1:3" ht="15.5" thickBot="1" x14ac:dyDescent="0.4">
      <c r="A29" s="14" t="s">
        <v>22</v>
      </c>
      <c r="B29" s="19">
        <f>Zobowiązania_bieżące_razem+Zobowiązania_długoterminowe+SUM(B25:B27)</f>
        <v>457050.13</v>
      </c>
      <c r="C29" s="5">
        <f>B29/'Bilans WS'!Suma_aktywów</f>
        <v>1</v>
      </c>
    </row>
    <row r="30" spans="1:3" ht="15.5" thickTop="1" x14ac:dyDescent="0.35"/>
    <row r="31" spans="1:3" x14ac:dyDescent="0.35">
      <c r="B31" s="1" t="str">
        <f>IF(ABS(Zobowiązania_i_kapitał_własny_razem-Suma_aktywów)&gt;0.01,"Nie zgadza się","Zgadza się")</f>
        <v>Zgadza się</v>
      </c>
    </row>
  </sheetData>
  <mergeCells count="3">
    <mergeCell ref="A3:C3"/>
    <mergeCell ref="A17:C17"/>
    <mergeCell ref="A24:C24"/>
  </mergeCells>
  <printOptions horizontalCentered="1"/>
  <pageMargins left="0.7" right="0.7" top="0.75" bottom="0.75" header="0.3" footer="0.3"/>
  <pageSetup orientation="portrait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showGridLines="0" workbookViewId="0">
      <selection activeCell="C13" sqref="C13"/>
    </sheetView>
  </sheetViews>
  <sheetFormatPr defaultRowHeight="14.95" x14ac:dyDescent="0.35"/>
  <cols>
    <col min="1" max="1" width="35.453125" customWidth="1"/>
    <col min="2" max="2" width="15.453125" customWidth="1"/>
    <col min="3" max="3" width="11.54296875" customWidth="1"/>
  </cols>
  <sheetData>
    <row r="1" spans="1:3" ht="20.8" x14ac:dyDescent="0.45">
      <c r="A1" s="6" t="s">
        <v>82</v>
      </c>
      <c r="B1" s="6"/>
      <c r="C1" s="8"/>
    </row>
    <row r="2" spans="1:3" ht="21.1" hidden="1" customHeight="1" x14ac:dyDescent="0.35">
      <c r="A2" s="7" t="s">
        <v>0</v>
      </c>
      <c r="B2" s="7"/>
      <c r="C2" s="8"/>
    </row>
    <row r="4" spans="1:3" x14ac:dyDescent="0.35">
      <c r="A4" t="s">
        <v>25</v>
      </c>
      <c r="B4" s="16">
        <f>-SUMIF(Klasa,A4,Saldo)</f>
        <v>1195450.25</v>
      </c>
      <c r="C4" s="3">
        <f>B4/$B$4</f>
        <v>1</v>
      </c>
    </row>
    <row r="5" spans="1:3" x14ac:dyDescent="0.35">
      <c r="A5" t="s">
        <v>26</v>
      </c>
      <c r="B5" s="2">
        <f>SUMIF(Klasa,A5,Saldo)</f>
        <v>870175.83</v>
      </c>
      <c r="C5" s="3">
        <f t="shared" ref="C5:C13" si="0">B5/$B$4</f>
        <v>0.72790635160267014</v>
      </c>
    </row>
    <row r="6" spans="1:3" x14ac:dyDescent="0.35">
      <c r="A6" t="s">
        <v>30</v>
      </c>
      <c r="B6" s="18">
        <f>B4-B5</f>
        <v>325274.42000000004</v>
      </c>
      <c r="C6" s="4">
        <f t="shared" si="0"/>
        <v>0.2720936483973298</v>
      </c>
    </row>
    <row r="8" spans="1:3" x14ac:dyDescent="0.35">
      <c r="A8" t="s">
        <v>27</v>
      </c>
      <c r="B8" s="2">
        <f>SUMIF(Klasa,A8,Saldo)</f>
        <v>29879.65</v>
      </c>
      <c r="C8" s="3">
        <f t="shared" si="0"/>
        <v>2.4994473839459234E-2</v>
      </c>
    </row>
    <row r="9" spans="1:3" x14ac:dyDescent="0.35">
      <c r="A9" t="s">
        <v>84</v>
      </c>
      <c r="B9" s="18">
        <f>B6-B8</f>
        <v>295394.77</v>
      </c>
      <c r="C9" s="4">
        <f t="shared" si="0"/>
        <v>0.24709917455787059</v>
      </c>
    </row>
    <row r="11" spans="1:3" x14ac:dyDescent="0.35">
      <c r="A11" t="s">
        <v>29</v>
      </c>
      <c r="B11" s="2">
        <f>SUMIF(Klasa,A11,Saldo)</f>
        <v>1269.08</v>
      </c>
      <c r="C11" s="3">
        <f t="shared" si="0"/>
        <v>1.0615916471639032E-3</v>
      </c>
    </row>
    <row r="12" spans="1:3" x14ac:dyDescent="0.35">
      <c r="A12" t="s">
        <v>28</v>
      </c>
      <c r="B12" s="2">
        <f>-SUMIF(Klasa,A12,Saldo)</f>
        <v>5387.03</v>
      </c>
      <c r="C12" s="3">
        <f t="shared" si="0"/>
        <v>4.5062770282577628E-3</v>
      </c>
    </row>
    <row r="13" spans="1:3" ht="15.5" thickBot="1" x14ac:dyDescent="0.4">
      <c r="A13" t="s">
        <v>32</v>
      </c>
      <c r="B13" s="19">
        <f>B9-B11+B12</f>
        <v>299512.72000000003</v>
      </c>
      <c r="C13" s="5">
        <f t="shared" si="0"/>
        <v>0.25054385993896444</v>
      </c>
    </row>
    <row r="14" spans="1:3" ht="15.5" thickTop="1" x14ac:dyDescent="0.35"/>
    <row r="15" spans="1:3" x14ac:dyDescent="0.35">
      <c r="A15" s="14" t="s">
        <v>80</v>
      </c>
      <c r="B15" s="20">
        <f>-SUMIF(Klasa,A15,Saldo)</f>
        <v>76484.479999999996</v>
      </c>
      <c r="C15" s="3"/>
    </row>
    <row r="16" spans="1:3" x14ac:dyDescent="0.35">
      <c r="A16" t="s">
        <v>32</v>
      </c>
      <c r="B16" s="2">
        <f>B13</f>
        <v>299512.72000000003</v>
      </c>
      <c r="C16" s="3"/>
    </row>
    <row r="17" spans="1:3" x14ac:dyDescent="0.35">
      <c r="A17" t="s">
        <v>108</v>
      </c>
      <c r="B17" s="2">
        <f>-SUMIF(Class,A17,Balance)</f>
        <v>0</v>
      </c>
      <c r="C17" s="3"/>
    </row>
    <row r="18" spans="1:3" ht="15.5" thickBot="1" x14ac:dyDescent="0.4">
      <c r="A18" s="14" t="s">
        <v>81</v>
      </c>
      <c r="B18" s="21">
        <f>SUM(B15:B17)</f>
        <v>375997.2</v>
      </c>
      <c r="C18" s="3"/>
    </row>
    <row r="19" spans="1:3" ht="15.5" thickTop="1" x14ac:dyDescent="0.35"/>
  </sheetData>
  <printOptions horizontalCentered="1"/>
  <pageMargins left="0.7" right="0.7" top="0.75" bottom="0.75" header="0.3" footer="0.3"/>
  <pageSetup orientation="portrait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5"/>
  <sheetViews>
    <sheetView showGridLines="0" tabSelected="1" workbookViewId="0">
      <selection activeCell="B24" sqref="B24"/>
    </sheetView>
  </sheetViews>
  <sheetFormatPr defaultRowHeight="14.95" x14ac:dyDescent="0.35"/>
  <cols>
    <col min="1" max="1" width="36" customWidth="1"/>
    <col min="2" max="2" width="16" customWidth="1"/>
  </cols>
  <sheetData>
    <row r="2" spans="1:2" ht="21.35" thickBot="1" x14ac:dyDescent="0.5">
      <c r="A2" s="27" t="s">
        <v>85</v>
      </c>
      <c r="B2" s="27"/>
    </row>
    <row r="3" spans="1:2" ht="15.5" thickTop="1" x14ac:dyDescent="0.35">
      <c r="A3" t="s">
        <v>87</v>
      </c>
      <c r="B3" s="2">
        <f>Środki_obrotowe_razem</f>
        <v>396325.13</v>
      </c>
    </row>
    <row r="4" spans="1:2" x14ac:dyDescent="0.35">
      <c r="A4" t="s">
        <v>88</v>
      </c>
      <c r="B4" s="2">
        <f>Zobowiązania_bieżące_razem</f>
        <v>36052.93</v>
      </c>
    </row>
    <row r="5" spans="1:2" x14ac:dyDescent="0.35">
      <c r="A5" t="s">
        <v>89</v>
      </c>
      <c r="B5" s="2">
        <f>Środki_obrotowe_razem-Zobowiązania_bieżące_razem</f>
        <v>360272.2</v>
      </c>
    </row>
    <row r="6" spans="1:2" x14ac:dyDescent="0.35">
      <c r="A6" t="s">
        <v>90</v>
      </c>
      <c r="B6" s="9">
        <f>Środki_obrotowe_razem/Zobowiązania_bieżące_razem</f>
        <v>10.992868818151534</v>
      </c>
    </row>
    <row r="7" spans="1:2" x14ac:dyDescent="0.35">
      <c r="A7" t="s">
        <v>91</v>
      </c>
      <c r="B7" s="9">
        <f>(Gotówka+Papiery_wart_przezn_do_obrotu)/Zobowiązania_bieżące_razem</f>
        <v>9.1572482458429878</v>
      </c>
    </row>
    <row r="9" spans="1:2" ht="21.35" thickBot="1" x14ac:dyDescent="0.5">
      <c r="A9" s="27" t="s">
        <v>103</v>
      </c>
      <c r="B9" s="27"/>
    </row>
    <row r="10" spans="1:2" ht="15.5" thickTop="1" x14ac:dyDescent="0.35">
      <c r="A10" t="s">
        <v>92</v>
      </c>
      <c r="B10" s="2">
        <f>Przychód/((Należności+Obroty_na_koncie_należności_zeszły_rok)/2)</f>
        <v>70.592988061877591</v>
      </c>
    </row>
    <row r="11" spans="1:2" x14ac:dyDescent="0.35">
      <c r="A11" t="s">
        <v>93</v>
      </c>
      <c r="B11" s="2">
        <f>365/Obroty_na_koncie_należności</f>
        <v>5.1704852000323722</v>
      </c>
    </row>
    <row r="12" spans="1:2" x14ac:dyDescent="0.35">
      <c r="A12" t="s">
        <v>94</v>
      </c>
      <c r="B12" s="2">
        <f>Koszt_wyrobów_sprzedanych/((Zapasy+Zapasy_ZeszłyRok)/2)</f>
        <v>20.413676510951952</v>
      </c>
    </row>
    <row r="13" spans="1:2" x14ac:dyDescent="0.35">
      <c r="A13" s="14" t="s">
        <v>104</v>
      </c>
      <c r="B13" s="2">
        <f>365/Rotacja_zapasów</f>
        <v>17.880169689383354</v>
      </c>
    </row>
    <row r="14" spans="1:2" x14ac:dyDescent="0.35">
      <c r="A14" t="s">
        <v>95</v>
      </c>
      <c r="B14" s="2">
        <f>Rotacja_należności+średni_czas_przechowywania_zapasów</f>
        <v>23.050654889415725</v>
      </c>
    </row>
    <row r="16" spans="1:2" ht="21.35" thickBot="1" x14ac:dyDescent="0.5">
      <c r="A16" s="27" t="s">
        <v>86</v>
      </c>
      <c r="B16" s="27"/>
    </row>
    <row r="17" spans="1:2" ht="15.5" thickTop="1" x14ac:dyDescent="0.35">
      <c r="A17" t="s">
        <v>96</v>
      </c>
      <c r="B17" s="9">
        <f>Suma_aktywów/(Zobowiązania_bieżące_razem+Zobowiązania_długoterminowe)</f>
        <v>8.1539025703027477</v>
      </c>
    </row>
    <row r="18" spans="1:2" x14ac:dyDescent="0.35">
      <c r="A18" t="s">
        <v>97</v>
      </c>
      <c r="B18" s="9">
        <f>(Zobowiązania_bieżące_razem+Zobowiązania_długoterminowe)/(Akcje_zwykłe+Dopłaty_do_kapitału+Zyski_nierozliczone)</f>
        <v>0.1397838438772141</v>
      </c>
    </row>
    <row r="19" spans="1:2" x14ac:dyDescent="0.35">
      <c r="A19" t="s">
        <v>98</v>
      </c>
      <c r="B19" s="2">
        <f>(Przychody_netto_strata+Zobowiązania_odsetkowe)/Zobowiązania_odsetkowe</f>
        <v>237.00775364831222</v>
      </c>
    </row>
    <row r="21" spans="1:2" ht="21.35" thickBot="1" x14ac:dyDescent="0.5">
      <c r="A21" s="27" t="s">
        <v>105</v>
      </c>
      <c r="B21" s="27"/>
    </row>
    <row r="22" spans="1:2" ht="15.5" thickTop="1" x14ac:dyDescent="0.35">
      <c r="A22" t="s">
        <v>99</v>
      </c>
      <c r="B22" s="3">
        <f>Stopa_zysku_brutto/Przychód</f>
        <v>0.2720936483973298</v>
      </c>
    </row>
    <row r="23" spans="1:2" x14ac:dyDescent="0.35">
      <c r="A23" s="14" t="s">
        <v>100</v>
      </c>
      <c r="B23" s="3">
        <f>Przychody_netto_strata/Przychód</f>
        <v>0.25054385993896444</v>
      </c>
    </row>
    <row r="24" spans="1:2" x14ac:dyDescent="0.35">
      <c r="A24" t="s">
        <v>101</v>
      </c>
      <c r="B24" s="3">
        <f>Przychody_netto_strata/((Suma_aktywów+SumaAktywów_ZeszłyRok)/2)</f>
        <v>0.63765785845923095</v>
      </c>
    </row>
    <row r="25" spans="1:2" x14ac:dyDescent="0.35">
      <c r="A25" t="s">
        <v>102</v>
      </c>
      <c r="B25" s="3">
        <f>Przychody_netto_strata/((Akcje_zwykłe+Dopłaty_do_kapitału+Zyski_nierozliczone+Dopłaty_do_Kapitału_ZeszłyRok+ZeszłyRok_Dodatkowa_Płatność_W_Kapitale+Zyski_nierozliczone_początek)/2)</f>
        <v>1.1643280281622468</v>
      </c>
    </row>
  </sheetData>
  <mergeCells count="4">
    <mergeCell ref="A2:B2"/>
    <mergeCell ref="A9:B9"/>
    <mergeCell ref="A16:B16"/>
    <mergeCell ref="A21:B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60</vt:i4>
      </vt:variant>
    </vt:vector>
  </HeadingPairs>
  <TitlesOfParts>
    <vt:vector size="66" baseType="lpstr">
      <vt:lpstr>Zestawienie obrotów i sald</vt:lpstr>
      <vt:lpstr>Bilans</vt:lpstr>
      <vt:lpstr>Rachunek zysków i strat</vt:lpstr>
      <vt:lpstr>Bilans WS</vt:lpstr>
      <vt:lpstr>Rachunek zysków i strat WS</vt:lpstr>
      <vt:lpstr>Wskaźniki</vt:lpstr>
      <vt:lpstr>'Bilans WS'!Akcje_zwykłe</vt:lpstr>
      <vt:lpstr>Akcje_zwykłe</vt:lpstr>
      <vt:lpstr>'Bilans WS'!Budynki_i_wyposażenie</vt:lpstr>
      <vt:lpstr>Budynki_i_wyposażenie</vt:lpstr>
      <vt:lpstr>'Bilans WS'!Dopłaty_do_kapitału</vt:lpstr>
      <vt:lpstr>Dopłaty_do_kapitału</vt:lpstr>
      <vt:lpstr>Dopłaty_do_Kapitału_ZeszłyRok</vt:lpstr>
      <vt:lpstr>Dywidendy</vt:lpstr>
      <vt:lpstr>'Bilans WS'!Gotówka</vt:lpstr>
      <vt:lpstr>Gotówka</vt:lpstr>
      <vt:lpstr>Klasa</vt:lpstr>
      <vt:lpstr>Koszt_wyrobów_sprzedanych</vt:lpstr>
      <vt:lpstr>'Bilans WS'!Należności</vt:lpstr>
      <vt:lpstr>Należności</vt:lpstr>
      <vt:lpstr>'Bilans WS'!Naliczone_wydatki</vt:lpstr>
      <vt:lpstr>Naliczone_wydatki</vt:lpstr>
      <vt:lpstr>Narzut</vt:lpstr>
      <vt:lpstr>Nazwa_konta</vt:lpstr>
      <vt:lpstr>Net_Ordinary_Income__Loss</vt:lpstr>
      <vt:lpstr>'Bilans WS'!Net_PP_E</vt:lpstr>
      <vt:lpstr>Net_PP_E</vt:lpstr>
      <vt:lpstr>Nr_konta</vt:lpstr>
      <vt:lpstr>Obroty_na_koncie_należności</vt:lpstr>
      <vt:lpstr>Obroty_na_koncie_należności_zeszły_rok</vt:lpstr>
      <vt:lpstr>'Bilans WS'!Papiery_wart_przezn_do_obrotu</vt:lpstr>
      <vt:lpstr>Papiery_wart_przezn_do_obrotu</vt:lpstr>
      <vt:lpstr>'Bilans WS'!Prepaid_and_Other</vt:lpstr>
      <vt:lpstr>Prepaid_and_Other</vt:lpstr>
      <vt:lpstr>Przychody_netto_strata</vt:lpstr>
      <vt:lpstr>Przychody_z_tytułu_odsetek</vt:lpstr>
      <vt:lpstr>Przychód</vt:lpstr>
      <vt:lpstr>Rotacja_należności</vt:lpstr>
      <vt:lpstr>Rotacja_zapasów</vt:lpstr>
      <vt:lpstr>Saldo</vt:lpstr>
      <vt:lpstr>Stopa_zysku_brutto</vt:lpstr>
      <vt:lpstr>'Bilans WS'!Suma_aktywów</vt:lpstr>
      <vt:lpstr>Suma_aktywów</vt:lpstr>
      <vt:lpstr>'Bilans WS'!Suma_amortyzacji</vt:lpstr>
      <vt:lpstr>Suma_amortyzacji</vt:lpstr>
      <vt:lpstr>SumaAktywów_ZeszłyRok</vt:lpstr>
      <vt:lpstr>średni_czas_przechowywania_zapasów</vt:lpstr>
      <vt:lpstr>'Bilans WS'!Środki_obrotowe_razem</vt:lpstr>
      <vt:lpstr>Środki_obrotowe_razem</vt:lpstr>
      <vt:lpstr>'Bilans WS'!Zapasy</vt:lpstr>
      <vt:lpstr>Zapasy</vt:lpstr>
      <vt:lpstr>Zapasy_ZeszłyRok</vt:lpstr>
      <vt:lpstr>ZeszłyRok_Dodatkowa_Płatność_W_Kapitale</vt:lpstr>
      <vt:lpstr>'Bilans WS'!Zobowiązania</vt:lpstr>
      <vt:lpstr>Zobowiązania</vt:lpstr>
      <vt:lpstr>'Bilans WS'!Zobowiązania_bieżące_razem</vt:lpstr>
      <vt:lpstr>Zobowiązania_bieżące_razem</vt:lpstr>
      <vt:lpstr>'Bilans WS'!Zobowiązania_długoterminowe</vt:lpstr>
      <vt:lpstr>Zobowiązania_długoterminowe</vt:lpstr>
      <vt:lpstr>'Bilans WS'!Zobowiązania_i_kapitał_własny_razem</vt:lpstr>
      <vt:lpstr>Zobowiązania_i_kapitał_własny_razem</vt:lpstr>
      <vt:lpstr>Zobowiązania_odsetkowe</vt:lpstr>
      <vt:lpstr>Zyski_nierozdzielone</vt:lpstr>
      <vt:lpstr>'Bilans WS'!Zyski_nierozliczone</vt:lpstr>
      <vt:lpstr>Zyski_nierozliczone</vt:lpstr>
      <vt:lpstr>Zyski_nierozliczone_początek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financial statements.xlsx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cp:lastPrinted>2006-10-11T03:20:13Z</cp:lastPrinted>
  <dcterms:created xsi:type="dcterms:W3CDTF">2006-10-11T02:40:32Z</dcterms:created>
  <dcterms:modified xsi:type="dcterms:W3CDTF">2013-06-24T12:31:58Z</dcterms:modified>
  <cp:category>http://www.j-walk.com/ss</cp:category>
</cp:coreProperties>
</file>